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ΕΠΙΔΟΤΗΣΗ ΕΝΟΙΚΙΟΥ" sheetId="1" r:id="rId1"/>
  </sheets>
  <definedNames>
    <definedName name="_xlnm._FilterDatabase" localSheetId="0" hidden="1">'ΕΠΙΔΟΤΗΣΗ ΕΝΟΙΚΙΟΥ'!$A$3:$CK$21</definedName>
    <definedName name="_xlnm.Print_Area" localSheetId="0">'ΕΠΙΔΟΤΗΣΗ ΕΝΟΙΚΙΟΥ'!$B$1:$AI$30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<sst xmlns="http://schemas.openxmlformats.org/spreadsheetml/2006/main" count="141" uniqueCount="92">
  <si>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</si>
  <si>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</si>
  <si>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</si>
  <si>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</si>
  <si>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</si>
  <si>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</si>
  <si>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</si>
  <si>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</si>
  <si>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</si>
  <si>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</si>
  <si>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</si>
  <si>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</si>
  <si>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</si>
  <si>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</si>
  <si>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</si>
  <si>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</si>
  <si>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</si>
  <si>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</si>
  <si>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</si>
  <si>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</si>
  <si>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</si>
  <si>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</si>
  <si>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</si>
  <si>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</si>
  <si>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</si>
  <si>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ΠΤ</t>
  </si>
  <si>
    <t>14ΦΜΑ/4.1.19</t>
  </si>
  <si>
    <t>ΙΩΑΝΝΙΝΑ</t>
  </si>
  <si>
    <t>ΗΡΑΚΛΕΙΟ ΚΡΗΤΗΣ</t>
  </si>
  <si>
    <t>11ΦΜΑ/3.1.19</t>
  </si>
  <si>
    <t>ΤΡΙΚΑΛΑ</t>
  </si>
  <si>
    <t>3ΦΜΑ/3.1.19</t>
  </si>
  <si>
    <t>ΙΕΡΑΠΕΤΡΑ ΛΑΣΙΘΙΟΥ</t>
  </si>
  <si>
    <t>73ΦΜΑ/28.12.18</t>
  </si>
  <si>
    <t>ΠΑΡΓΑ</t>
  </si>
  <si>
    <t>4ΦΜΑ/3.1.19</t>
  </si>
  <si>
    <t>ΚΑΛΑΜΑΤΑ</t>
  </si>
  <si>
    <t>13ΦΜΑ/4.1.19</t>
  </si>
  <si>
    <t>ΕΛΑΙΩΝΑ ΑΧΑΪΑΣ</t>
  </si>
  <si>
    <t>34ΦΜΑ/14.12.18</t>
  </si>
  <si>
    <t>ΑΓ. ΑΝΑΡΓΥΡΟΙ ΑΤΤΙΚΗΣ</t>
  </si>
  <si>
    <t>35ΦΜΑ/14.12.18</t>
  </si>
  <si>
    <t>ΒΑΣΙΛΙΚΑ ΘΕΣΣΑΛΟΝΙΚΗΣ</t>
  </si>
  <si>
    <t>41ΦΜΑ/17.12.18</t>
  </si>
  <si>
    <t>ΚΙΛΚΙΣ</t>
  </si>
  <si>
    <t>42ΦΜΑ/17.12.18</t>
  </si>
  <si>
    <t>ΣΥΡΟΣ</t>
  </si>
  <si>
    <t>ΜΑΡΟΥΣΙ-ΑΘΗΝΑ</t>
  </si>
  <si>
    <t>44ΦΜΑ/10.1.19</t>
  </si>
  <si>
    <t>46ΦΜΑ/10.1.19</t>
  </si>
  <si>
    <t>ΑΤΤΙΚΗ</t>
  </si>
  <si>
    <t>64ΦΜΑ/21.12.18</t>
  </si>
  <si>
    <t>58ΦΜΑ/20.12.18</t>
  </si>
  <si>
    <t>ΜΑΡΚΟΠΟΥΛΟ ΑΤΤΙΚΗΣ</t>
  </si>
  <si>
    <t>57ΦΜΑ/20.12.18</t>
  </si>
  <si>
    <t>ΑΡΝΙΣΣΑ Ν. ΠΕΛΛΑΣ</t>
  </si>
  <si>
    <t>34ΦΜΑ/8.1.19</t>
  </si>
  <si>
    <t>ΜΑΡΑΘΩΝΑΣ</t>
  </si>
  <si>
    <t>50ΦΜΑ/19.12.18</t>
  </si>
  <si>
    <t>ΦΛΩΡΙΝΑ</t>
  </si>
  <si>
    <t>48ΦΜΑ/18.12.18</t>
  </si>
  <si>
    <t>ΑΧΑΡΝΕΣ ΑΤΤΙΚΗΣ</t>
  </si>
  <si>
    <t>Λ</t>
  </si>
  <si>
    <t>2006/12-12-2018</t>
  </si>
  <si>
    <t>ΠΕΙΡΑΙΑΣ</t>
  </si>
  <si>
    <t>2073/21-12-2018</t>
  </si>
  <si>
    <t>ΘΕΣΣΑΛΟΝΙΚΗ</t>
  </si>
  <si>
    <t>2119/27-12-2018</t>
  </si>
  <si>
    <t>2120/27-12-2018</t>
  </si>
  <si>
    <t>ΑΧΕΡΟΥΣΙΑ ΠΡΕΒΕΖΗΣ</t>
  </si>
  <si>
    <t>ΛΙΓΟΤΕΡΑ ΑΠΌ 50χλμ</t>
  </si>
  <si>
    <t>2124/28-12-2018</t>
  </si>
  <si>
    <t>ΠΥΡΓΟΣ ΗΛΕΙΑΣ</t>
  </si>
  <si>
    <t>5/3-1-2019</t>
  </si>
  <si>
    <t>ΝΙΚΑΙΑ ΑΤΤΙΚΗΣ</t>
  </si>
  <si>
    <t>7/3-1-2019</t>
  </si>
  <si>
    <t>ΑΡΤΑ</t>
  </si>
  <si>
    <t>ΥΠΕΡΒΑΣΗ ΧΡΟΝΟΥ ΦΟΙΤΗΣΗΣ</t>
  </si>
  <si>
    <t>25/7-1-2019</t>
  </si>
  <si>
    <t>Κ.ΑΧΑΪΑ</t>
  </si>
  <si>
    <t>2057/19-12-2018</t>
  </si>
  <si>
    <t>ΚΑΛΠΑΚΙ ΙΩΑΝΝΙΝΩΝ</t>
  </si>
  <si>
    <t>ΕΛΛΕΙΠΗ ΔΙΚΑΙΟΛΟΓΗΤΙΚΑ</t>
  </si>
  <si>
    <t xml:space="preserve">ΔΕΝ ΠΛΗΡΟΙ ΤΟ ΑΚΑΔΗΜΑΪΚΟ ΚΡΙΤΗΡΙΟ </t>
  </si>
  <si>
    <t>Αιτιολογία Απόρριψης</t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</si>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</sst>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  <numFmt numFmtId="171" formatCode="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5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1" fontId="8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2"/>
  <sheetViews>
    <sheetView tabSelected="1" view="pageBreakPreview" zoomScale="75" zoomScaleNormal="75" zoomScaleSheetLayoutView="75" zoomScalePageLayoutView="0" workbookViewId="0" topLeftCell="B1">
      <pane ySplit="3" topLeftCell="A4" activePane="bottomLeft" state="frozen"/>
      <selection pane="topLeft" activeCell="B1" sqref="B1"/>
      <selection pane="bottomLeft" activeCell="C2" sqref="C1:C16384"/>
    </sheetView>
  </sheetViews>
  <sheetFormatPr defaultColWidth="9.140625" defaultRowHeight="12.75"/>
  <cols>
    <col min="1" max="1" width="6.28125" style="1" hidden="1" customWidth="1"/>
    <col min="2" max="2" width="5.7109375" style="23" bestFit="1" customWidth="1"/>
    <col min="3" max="3" width="13.140625" style="2" bestFit="1" customWidth="1"/>
    <col min="4" max="4" width="11.7109375" style="2" bestFit="1" customWidth="1"/>
    <col min="5" max="5" width="5.57421875" style="2" customWidth="1"/>
    <col min="6" max="6" width="21.140625" style="2" customWidth="1"/>
    <col min="7" max="17" width="5.421875" style="2" customWidth="1"/>
    <col min="18" max="18" width="5.28125" style="2" customWidth="1"/>
    <col min="19" max="19" width="15.140625" style="2" bestFit="1" customWidth="1"/>
    <col min="20" max="20" width="13.421875" style="2" hidden="1" customWidth="1"/>
    <col min="21" max="21" width="0.5625" style="2" customWidth="1"/>
    <col min="22" max="22" width="13.7109375" style="2" bestFit="1" customWidth="1"/>
    <col min="23" max="23" width="9.57421875" style="2" hidden="1" customWidth="1"/>
    <col min="24" max="25" width="8.8515625" style="2" hidden="1" customWidth="1"/>
    <col min="26" max="27" width="12.28125" style="2" bestFit="1" customWidth="1"/>
    <col min="28" max="32" width="13.421875" style="2" customWidth="1"/>
    <col min="33" max="33" width="12.8515625" style="2" customWidth="1"/>
    <col min="34" max="34" width="31.7109375" style="2" bestFit="1" customWidth="1"/>
    <col min="35" max="35" width="64.57421875" style="2" customWidth="1"/>
    <col min="36" max="89" width="9.140625" style="3" customWidth="1"/>
    <col min="90" max="16384" width="9.140625" style="1" customWidth="1"/>
  </cols>
  <sheetData>
    <row r="1" spans="2:89" s="4" customFormat="1" ht="27">
      <c r="B1" s="22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3:33" ht="6.75" customHeight="1" thickBot="1">
      <c r="C2" s="35"/>
      <c r="AG2" s="29"/>
    </row>
    <row r="3" spans="1:35" ht="197.25" customHeight="1" thickBot="1" thickTop="1">
      <c r="A3" s="6" t="s">
        <v>0</v>
      </c>
      <c r="B3" s="24" t="s">
        <v>0</v>
      </c>
      <c r="C3" s="8" t="s">
        <v>17</v>
      </c>
      <c r="D3" s="18" t="s">
        <v>1</v>
      </c>
      <c r="E3" s="18" t="s">
        <v>6</v>
      </c>
      <c r="F3" s="19" t="s">
        <v>7</v>
      </c>
      <c r="G3" s="16" t="s">
        <v>5</v>
      </c>
      <c r="H3" s="16" t="s">
        <v>24</v>
      </c>
      <c r="I3" s="16" t="s">
        <v>2</v>
      </c>
      <c r="J3" s="16" t="s">
        <v>3</v>
      </c>
      <c r="K3" s="16" t="s">
        <v>13</v>
      </c>
      <c r="L3" s="16" t="s">
        <v>18</v>
      </c>
      <c r="M3" s="16" t="s">
        <v>14</v>
      </c>
      <c r="N3" s="16" t="s">
        <v>19</v>
      </c>
      <c r="O3" s="16" t="s">
        <v>9</v>
      </c>
      <c r="P3" s="16" t="s">
        <v>20</v>
      </c>
      <c r="Q3" s="16" t="s">
        <v>4</v>
      </c>
      <c r="R3" s="16" t="s">
        <v>85</v>
      </c>
      <c r="S3" s="16" t="s">
        <v>86</v>
      </c>
      <c r="T3" s="16"/>
      <c r="U3" s="16"/>
      <c r="V3" s="16" t="s">
        <v>21</v>
      </c>
      <c r="W3" s="16" t="s">
        <v>10</v>
      </c>
      <c r="X3" s="17" t="s">
        <v>16</v>
      </c>
      <c r="Y3" s="17" t="s">
        <v>15</v>
      </c>
      <c r="Z3" s="16" t="s">
        <v>11</v>
      </c>
      <c r="AA3" s="16" t="s">
        <v>87</v>
      </c>
      <c r="AB3" s="16" t="s">
        <v>88</v>
      </c>
      <c r="AC3" s="16" t="s">
        <v>89</v>
      </c>
      <c r="AD3" s="16" t="s">
        <v>90</v>
      </c>
      <c r="AE3" s="16" t="s">
        <v>91</v>
      </c>
      <c r="AF3" s="20" t="s">
        <v>12</v>
      </c>
      <c r="AG3" s="34" t="s">
        <v>23</v>
      </c>
      <c r="AH3" s="34" t="s">
        <v>22</v>
      </c>
      <c r="AI3" s="34" t="s">
        <v>84</v>
      </c>
    </row>
    <row r="4" spans="1:89" s="5" customFormat="1" ht="22.5" customHeight="1" thickBot="1" thickTop="1">
      <c r="A4" s="7">
        <v>27</v>
      </c>
      <c r="B4" s="26">
        <v>1</v>
      </c>
      <c r="C4" s="26">
        <v>15370</v>
      </c>
      <c r="D4" s="26" t="s">
        <v>25</v>
      </c>
      <c r="E4" s="26">
        <v>7</v>
      </c>
      <c r="F4" s="26" t="s">
        <v>26</v>
      </c>
      <c r="G4" s="37">
        <v>1</v>
      </c>
      <c r="H4" s="37">
        <v>1</v>
      </c>
      <c r="I4" s="37">
        <v>0</v>
      </c>
      <c r="J4" s="37">
        <v>1</v>
      </c>
      <c r="K4" s="37">
        <v>0</v>
      </c>
      <c r="L4" s="37">
        <v>5</v>
      </c>
      <c r="M4" s="37">
        <v>1</v>
      </c>
      <c r="N4" s="37">
        <v>1</v>
      </c>
      <c r="O4" s="37">
        <v>1</v>
      </c>
      <c r="P4" s="37">
        <v>0</v>
      </c>
      <c r="Q4" s="37">
        <v>1</v>
      </c>
      <c r="R4" s="37">
        <v>0</v>
      </c>
      <c r="S4" s="37">
        <v>0</v>
      </c>
      <c r="T4" s="13"/>
      <c r="U4" s="13"/>
      <c r="V4" s="13">
        <f>2622.53+13831.89</f>
        <v>16454.42</v>
      </c>
      <c r="W4" s="13"/>
      <c r="X4" s="13"/>
      <c r="Y4" s="13"/>
      <c r="Z4" s="39">
        <f aca="true" t="shared" si="0" ref="Z4:Z9">((T4*50%+U4*85%+V4)/L4)+W4</f>
        <v>3290.8839999999996</v>
      </c>
      <c r="AA4" s="39">
        <f aca="true" t="shared" si="1" ref="AA4:AA9">IF(O4=1,Z4*30%,0)</f>
        <v>987.2651999999998</v>
      </c>
      <c r="AB4" s="39">
        <f aca="true" t="shared" si="2" ref="AB4:AB9">IF(K4=1,Z4*20%,0)</f>
        <v>0</v>
      </c>
      <c r="AC4" s="39">
        <f aca="true" t="shared" si="3" ref="AC4:AC9">IF(R4=1,Z4*10%,0)</f>
        <v>0</v>
      </c>
      <c r="AD4" s="39">
        <f aca="true" t="shared" si="4" ref="AD4:AD9">IF(S4=1,Z4*30%,0)</f>
        <v>0</v>
      </c>
      <c r="AE4" s="39">
        <f aca="true" t="shared" si="5" ref="AE4:AE9">IF(I4=1,Z4*30%,0)</f>
        <v>0</v>
      </c>
      <c r="AF4" s="39">
        <f aca="true" t="shared" si="6" ref="AF4:AF9">Z4-AA4-AB4-AC4-AD4-AE4</f>
        <v>2303.6187999999997</v>
      </c>
      <c r="AG4" s="42">
        <v>12.5</v>
      </c>
      <c r="AH4" s="27" t="s">
        <v>27</v>
      </c>
      <c r="AI4" s="27" t="s">
        <v>83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s="5" customFormat="1" ht="22.5" customHeight="1" thickBot="1" thickTop="1">
      <c r="A5" s="7"/>
      <c r="B5" s="26">
        <v>2</v>
      </c>
      <c r="C5" s="14">
        <v>15469</v>
      </c>
      <c r="D5" s="14" t="s">
        <v>25</v>
      </c>
      <c r="E5" s="14">
        <v>7</v>
      </c>
      <c r="F5" s="14" t="s">
        <v>29</v>
      </c>
      <c r="G5" s="37">
        <v>1</v>
      </c>
      <c r="H5" s="38">
        <v>1</v>
      </c>
      <c r="I5" s="38">
        <v>0</v>
      </c>
      <c r="J5" s="38">
        <v>1</v>
      </c>
      <c r="K5" s="37">
        <v>1</v>
      </c>
      <c r="L5" s="37">
        <v>3</v>
      </c>
      <c r="M5" s="38">
        <v>1</v>
      </c>
      <c r="N5" s="38">
        <v>1</v>
      </c>
      <c r="O5" s="38">
        <v>1</v>
      </c>
      <c r="P5" s="38">
        <v>0</v>
      </c>
      <c r="Q5" s="38">
        <v>0</v>
      </c>
      <c r="R5" s="38">
        <v>0</v>
      </c>
      <c r="S5" s="38">
        <v>0</v>
      </c>
      <c r="T5" s="15"/>
      <c r="U5" s="15"/>
      <c r="V5" s="15">
        <f>8452.54+5998.2</f>
        <v>14450.740000000002</v>
      </c>
      <c r="W5" s="15"/>
      <c r="X5" s="15"/>
      <c r="Y5" s="15"/>
      <c r="Z5" s="39">
        <f t="shared" si="0"/>
        <v>4816.913333333334</v>
      </c>
      <c r="AA5" s="39">
        <f t="shared" si="1"/>
        <v>1445.074</v>
      </c>
      <c r="AB5" s="39">
        <f t="shared" si="2"/>
        <v>963.3826666666669</v>
      </c>
      <c r="AC5" s="39">
        <f t="shared" si="3"/>
        <v>0</v>
      </c>
      <c r="AD5" s="39">
        <f t="shared" si="4"/>
        <v>0</v>
      </c>
      <c r="AE5" s="39">
        <f t="shared" si="5"/>
        <v>0</v>
      </c>
      <c r="AF5" s="39">
        <f t="shared" si="6"/>
        <v>2408.456666666667</v>
      </c>
      <c r="AG5" s="43">
        <v>10.5</v>
      </c>
      <c r="AH5" s="30" t="s">
        <v>30</v>
      </c>
      <c r="AI5" s="27" t="s">
        <v>83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s="5" customFormat="1" ht="22.5" customHeight="1" thickBot="1" thickTop="1">
      <c r="A6" s="7"/>
      <c r="B6" s="26">
        <v>3</v>
      </c>
      <c r="C6" s="14">
        <v>15888</v>
      </c>
      <c r="D6" s="14" t="s">
        <v>25</v>
      </c>
      <c r="E6" s="14">
        <v>3</v>
      </c>
      <c r="F6" s="14" t="s">
        <v>31</v>
      </c>
      <c r="G6" s="38">
        <v>1</v>
      </c>
      <c r="H6" s="38">
        <v>1</v>
      </c>
      <c r="I6" s="38">
        <v>1</v>
      </c>
      <c r="J6" s="38">
        <v>1</v>
      </c>
      <c r="K6" s="37">
        <v>0</v>
      </c>
      <c r="L6" s="37">
        <v>5</v>
      </c>
      <c r="M6" s="37">
        <v>1</v>
      </c>
      <c r="N6" s="38">
        <v>1</v>
      </c>
      <c r="O6" s="38">
        <v>1</v>
      </c>
      <c r="P6" s="38">
        <v>0</v>
      </c>
      <c r="Q6" s="38">
        <v>1</v>
      </c>
      <c r="R6" s="38">
        <v>0</v>
      </c>
      <c r="S6" s="38">
        <v>1</v>
      </c>
      <c r="T6" s="13"/>
      <c r="U6" s="13"/>
      <c r="V6" s="13">
        <f>4150+10001.74</f>
        <v>14151.74</v>
      </c>
      <c r="W6" s="13"/>
      <c r="X6" s="13"/>
      <c r="Y6" s="13"/>
      <c r="Z6" s="39">
        <f t="shared" si="0"/>
        <v>2830.348</v>
      </c>
      <c r="AA6" s="39">
        <f t="shared" si="1"/>
        <v>849.1043999999999</v>
      </c>
      <c r="AB6" s="39">
        <f t="shared" si="2"/>
        <v>0</v>
      </c>
      <c r="AC6" s="39">
        <f t="shared" si="3"/>
        <v>0</v>
      </c>
      <c r="AD6" s="39">
        <f t="shared" si="4"/>
        <v>849.1043999999999</v>
      </c>
      <c r="AE6" s="39">
        <f t="shared" si="5"/>
        <v>849.1043999999999</v>
      </c>
      <c r="AF6" s="39">
        <f t="shared" si="6"/>
        <v>283.03480000000013</v>
      </c>
      <c r="AG6" s="43">
        <v>6.5</v>
      </c>
      <c r="AH6" s="30" t="s">
        <v>32</v>
      </c>
      <c r="AI6" s="27" t="s">
        <v>83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5" customFormat="1" ht="22.5" customHeight="1" thickBot="1" thickTop="1">
      <c r="A7" s="7">
        <v>35</v>
      </c>
      <c r="B7" s="26">
        <v>4</v>
      </c>
      <c r="C7" s="14">
        <v>15581</v>
      </c>
      <c r="D7" s="14" t="s">
        <v>25</v>
      </c>
      <c r="E7" s="14">
        <v>5</v>
      </c>
      <c r="F7" s="14" t="s">
        <v>33</v>
      </c>
      <c r="G7" s="37">
        <v>1</v>
      </c>
      <c r="H7" s="38">
        <v>1</v>
      </c>
      <c r="I7" s="38">
        <v>1</v>
      </c>
      <c r="J7" s="38">
        <v>1</v>
      </c>
      <c r="K7" s="37">
        <v>0</v>
      </c>
      <c r="L7" s="37">
        <v>4</v>
      </c>
      <c r="M7" s="38">
        <v>1</v>
      </c>
      <c r="N7" s="38">
        <v>1</v>
      </c>
      <c r="O7" s="38">
        <v>0</v>
      </c>
      <c r="P7" s="38">
        <v>0</v>
      </c>
      <c r="Q7" s="38">
        <v>1</v>
      </c>
      <c r="R7" s="38">
        <v>0</v>
      </c>
      <c r="S7" s="38">
        <v>0</v>
      </c>
      <c r="T7" s="15"/>
      <c r="U7" s="15"/>
      <c r="V7" s="15">
        <f>3068.78+13106.49+8758.51</f>
        <v>24933.78</v>
      </c>
      <c r="W7" s="15"/>
      <c r="X7" s="15"/>
      <c r="Y7" s="15"/>
      <c r="Z7" s="39">
        <f t="shared" si="0"/>
        <v>6233.445</v>
      </c>
      <c r="AA7" s="39">
        <f t="shared" si="1"/>
        <v>0</v>
      </c>
      <c r="AB7" s="39">
        <f t="shared" si="2"/>
        <v>0</v>
      </c>
      <c r="AC7" s="39">
        <f t="shared" si="3"/>
        <v>0</v>
      </c>
      <c r="AD7" s="39">
        <f t="shared" si="4"/>
        <v>0</v>
      </c>
      <c r="AE7" s="39">
        <f t="shared" si="5"/>
        <v>1870.0334999999998</v>
      </c>
      <c r="AF7" s="39">
        <f t="shared" si="6"/>
        <v>4363.4115</v>
      </c>
      <c r="AG7" s="42">
        <v>0</v>
      </c>
      <c r="AH7" s="27" t="s">
        <v>34</v>
      </c>
      <c r="AI7" s="27" t="s">
        <v>83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s="32" customFormat="1" ht="22.5" customHeight="1" thickBot="1" thickTop="1">
      <c r="A8" s="7"/>
      <c r="B8" s="26">
        <v>5</v>
      </c>
      <c r="C8" s="14">
        <v>15567</v>
      </c>
      <c r="D8" s="14" t="s">
        <v>25</v>
      </c>
      <c r="E8" s="14">
        <v>5</v>
      </c>
      <c r="F8" s="14" t="s">
        <v>35</v>
      </c>
      <c r="G8" s="26">
        <v>1</v>
      </c>
      <c r="H8" s="14">
        <v>1</v>
      </c>
      <c r="I8" s="14">
        <v>1</v>
      </c>
      <c r="J8" s="14">
        <v>1</v>
      </c>
      <c r="K8" s="26">
        <v>0</v>
      </c>
      <c r="L8" s="26">
        <v>3</v>
      </c>
      <c r="M8" s="14">
        <v>1</v>
      </c>
      <c r="N8" s="14">
        <v>1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5"/>
      <c r="U8" s="15"/>
      <c r="V8" s="15">
        <f>3631.17+5897.7</f>
        <v>9528.869999999999</v>
      </c>
      <c r="W8" s="15"/>
      <c r="X8" s="15"/>
      <c r="Y8" s="15"/>
      <c r="Z8" s="39">
        <f t="shared" si="0"/>
        <v>3176.2899999999995</v>
      </c>
      <c r="AA8" s="39">
        <f t="shared" si="1"/>
        <v>0</v>
      </c>
      <c r="AB8" s="39">
        <f t="shared" si="2"/>
        <v>0</v>
      </c>
      <c r="AC8" s="39">
        <f t="shared" si="3"/>
        <v>0</v>
      </c>
      <c r="AD8" s="39">
        <f t="shared" si="4"/>
        <v>0</v>
      </c>
      <c r="AE8" s="39">
        <f t="shared" si="5"/>
        <v>952.8869999999998</v>
      </c>
      <c r="AF8" s="39">
        <f t="shared" si="6"/>
        <v>2223.403</v>
      </c>
      <c r="AG8" s="43">
        <v>3.5</v>
      </c>
      <c r="AH8" s="30" t="s">
        <v>36</v>
      </c>
      <c r="AI8" s="27" t="s">
        <v>83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5" customFormat="1" ht="22.5" customHeight="1" thickBot="1" thickTop="1">
      <c r="A9" s="7"/>
      <c r="B9" s="26">
        <v>6</v>
      </c>
      <c r="C9" s="14">
        <v>15505</v>
      </c>
      <c r="D9" s="14" t="s">
        <v>25</v>
      </c>
      <c r="E9" s="14">
        <v>5</v>
      </c>
      <c r="F9" s="14" t="s">
        <v>37</v>
      </c>
      <c r="G9" s="26">
        <v>1</v>
      </c>
      <c r="H9" s="14">
        <v>1</v>
      </c>
      <c r="I9" s="14">
        <v>0</v>
      </c>
      <c r="J9" s="14">
        <v>1</v>
      </c>
      <c r="K9" s="26">
        <v>0</v>
      </c>
      <c r="L9" s="26">
        <v>4</v>
      </c>
      <c r="M9" s="14">
        <v>1</v>
      </c>
      <c r="N9" s="14">
        <v>1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5"/>
      <c r="U9" s="15"/>
      <c r="V9" s="15">
        <f>1799+24211.81+3000</f>
        <v>29010.81</v>
      </c>
      <c r="W9" s="15"/>
      <c r="X9" s="15"/>
      <c r="Y9" s="15"/>
      <c r="Z9" s="39">
        <f t="shared" si="0"/>
        <v>7252.7025</v>
      </c>
      <c r="AA9" s="39">
        <f t="shared" si="1"/>
        <v>0</v>
      </c>
      <c r="AB9" s="39">
        <f t="shared" si="2"/>
        <v>0</v>
      </c>
      <c r="AC9" s="39">
        <f t="shared" si="3"/>
        <v>0</v>
      </c>
      <c r="AD9" s="39">
        <f t="shared" si="4"/>
        <v>0</v>
      </c>
      <c r="AE9" s="39">
        <f t="shared" si="5"/>
        <v>0</v>
      </c>
      <c r="AF9" s="39">
        <f t="shared" si="6"/>
        <v>7252.7025</v>
      </c>
      <c r="AG9" s="43">
        <v>10</v>
      </c>
      <c r="AH9" s="30" t="s">
        <v>38</v>
      </c>
      <c r="AI9" s="27" t="s">
        <v>83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s="5" customFormat="1" ht="22.5" customHeight="1" thickBot="1" thickTop="1">
      <c r="A10" s="7"/>
      <c r="B10" s="26">
        <v>7</v>
      </c>
      <c r="C10" s="14">
        <v>15522</v>
      </c>
      <c r="D10" s="14" t="s">
        <v>25</v>
      </c>
      <c r="E10" s="14">
        <v>5</v>
      </c>
      <c r="F10" s="14" t="s">
        <v>39</v>
      </c>
      <c r="G10" s="26">
        <v>1</v>
      </c>
      <c r="H10" s="14">
        <v>1</v>
      </c>
      <c r="I10" s="14">
        <v>0</v>
      </c>
      <c r="J10" s="14">
        <v>1</v>
      </c>
      <c r="K10" s="26">
        <v>0</v>
      </c>
      <c r="L10" s="26">
        <v>3</v>
      </c>
      <c r="M10" s="14">
        <v>1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5"/>
      <c r="U10" s="15"/>
      <c r="V10" s="15">
        <f>11814.24+15316.54</f>
        <v>27130.78</v>
      </c>
      <c r="W10" s="15"/>
      <c r="X10" s="15"/>
      <c r="Y10" s="15"/>
      <c r="Z10" s="13">
        <f aca="true" t="shared" si="7" ref="Z10:Z17">((T10*50%+U10*85%+V10)/L10)+W10</f>
        <v>9043.593333333332</v>
      </c>
      <c r="AA10" s="13">
        <f aca="true" t="shared" si="8" ref="AA10:AA17">IF(O10=1,Z10*30%,0)</f>
        <v>0</v>
      </c>
      <c r="AB10" s="13">
        <f aca="true" t="shared" si="9" ref="AB10:AB17">IF(K10=1,Z10*20%,0)</f>
        <v>0</v>
      </c>
      <c r="AC10" s="13">
        <f aca="true" t="shared" si="10" ref="AC10:AC17">IF(R10=1,Z10*10%,0)</f>
        <v>0</v>
      </c>
      <c r="AD10" s="13">
        <f aca="true" t="shared" si="11" ref="AD10:AD17">IF(S10=1,Z10*30%,0)</f>
        <v>0</v>
      </c>
      <c r="AE10" s="13">
        <f aca="true" t="shared" si="12" ref="AE10:AE17">IF(I10=1,Z10*30%,0)</f>
        <v>0</v>
      </c>
      <c r="AF10" s="13">
        <f aca="true" t="shared" si="13" ref="AF10:AF17">Z10-AA10-AB10-AC10-AD10-AE10</f>
        <v>9043.593333333332</v>
      </c>
      <c r="AG10" s="43">
        <v>16.5</v>
      </c>
      <c r="AH10" s="30" t="s">
        <v>40</v>
      </c>
      <c r="AI10" s="27" t="s">
        <v>83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5" customFormat="1" ht="22.5" customHeight="1" thickBot="1" thickTop="1">
      <c r="A11" s="7">
        <v>118</v>
      </c>
      <c r="B11" s="26">
        <v>8</v>
      </c>
      <c r="C11" s="14">
        <v>15738</v>
      </c>
      <c r="D11" s="14" t="s">
        <v>8</v>
      </c>
      <c r="E11" s="14">
        <v>3</v>
      </c>
      <c r="F11" s="14" t="s">
        <v>41</v>
      </c>
      <c r="G11" s="14">
        <v>1</v>
      </c>
      <c r="H11" s="14">
        <v>1</v>
      </c>
      <c r="I11" s="14">
        <v>0</v>
      </c>
      <c r="J11" s="14">
        <v>1</v>
      </c>
      <c r="K11" s="26">
        <v>0</v>
      </c>
      <c r="L11" s="26">
        <v>4</v>
      </c>
      <c r="M11" s="26">
        <v>1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3"/>
      <c r="U11" s="13"/>
      <c r="V11" s="13">
        <f>2756.55+1976.78</f>
        <v>4733.33</v>
      </c>
      <c r="W11" s="13"/>
      <c r="X11" s="13"/>
      <c r="Y11" s="13"/>
      <c r="Z11" s="13">
        <f t="shared" si="7"/>
        <v>1183.3325</v>
      </c>
      <c r="AA11" s="13">
        <f t="shared" si="8"/>
        <v>0</v>
      </c>
      <c r="AB11" s="13">
        <f t="shared" si="9"/>
        <v>0</v>
      </c>
      <c r="AC11" s="13">
        <f t="shared" si="10"/>
        <v>0</v>
      </c>
      <c r="AD11" s="13">
        <f t="shared" si="11"/>
        <v>0</v>
      </c>
      <c r="AE11" s="13">
        <f t="shared" si="12"/>
        <v>0</v>
      </c>
      <c r="AF11" s="13">
        <f t="shared" si="13"/>
        <v>1183.3325</v>
      </c>
      <c r="AG11" s="43">
        <v>15</v>
      </c>
      <c r="AH11" s="30" t="s">
        <v>42</v>
      </c>
      <c r="AI11" s="27" t="s">
        <v>83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89" s="5" customFormat="1" ht="22.5" customHeight="1" thickBot="1" thickTop="1">
      <c r="A12" s="7">
        <v>131</v>
      </c>
      <c r="B12" s="26">
        <v>9</v>
      </c>
      <c r="C12" s="14">
        <v>15434</v>
      </c>
      <c r="D12" s="14" t="s">
        <v>25</v>
      </c>
      <c r="E12" s="14">
        <v>7</v>
      </c>
      <c r="F12" s="14" t="s">
        <v>43</v>
      </c>
      <c r="G12" s="26">
        <v>1</v>
      </c>
      <c r="H12" s="14">
        <v>1</v>
      </c>
      <c r="I12" s="14">
        <v>0</v>
      </c>
      <c r="J12" s="14">
        <v>1</v>
      </c>
      <c r="K12" s="26">
        <v>0</v>
      </c>
      <c r="L12" s="26">
        <v>4</v>
      </c>
      <c r="M12" s="14">
        <v>1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5"/>
      <c r="U12" s="15"/>
      <c r="V12" s="15">
        <f>8209.32+11005.96+3000</f>
        <v>22215.28</v>
      </c>
      <c r="W12" s="15"/>
      <c r="X12" s="15"/>
      <c r="Y12" s="15"/>
      <c r="Z12" s="13">
        <f t="shared" si="7"/>
        <v>5553.82</v>
      </c>
      <c r="AA12" s="13">
        <f t="shared" si="8"/>
        <v>0</v>
      </c>
      <c r="AB12" s="13">
        <f t="shared" si="9"/>
        <v>0</v>
      </c>
      <c r="AC12" s="13">
        <f t="shared" si="10"/>
        <v>0</v>
      </c>
      <c r="AD12" s="13">
        <f t="shared" si="11"/>
        <v>0</v>
      </c>
      <c r="AE12" s="13">
        <f t="shared" si="12"/>
        <v>0</v>
      </c>
      <c r="AF12" s="13">
        <f t="shared" si="13"/>
        <v>5553.82</v>
      </c>
      <c r="AG12" s="42">
        <v>17</v>
      </c>
      <c r="AH12" s="31" t="s">
        <v>44</v>
      </c>
      <c r="AI12" s="27" t="s">
        <v>83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5" customFormat="1" ht="22.5" customHeight="1" thickBot="1" thickTop="1">
      <c r="A13" s="7">
        <v>129</v>
      </c>
      <c r="B13" s="26">
        <v>10</v>
      </c>
      <c r="C13" s="14">
        <v>15741</v>
      </c>
      <c r="D13" s="14" t="s">
        <v>25</v>
      </c>
      <c r="E13" s="14">
        <v>3</v>
      </c>
      <c r="F13" s="14" t="s">
        <v>45</v>
      </c>
      <c r="G13" s="14">
        <v>1</v>
      </c>
      <c r="H13" s="14">
        <v>1</v>
      </c>
      <c r="I13" s="14">
        <v>0</v>
      </c>
      <c r="J13" s="14">
        <v>1</v>
      </c>
      <c r="K13" s="26">
        <v>0</v>
      </c>
      <c r="L13" s="26">
        <v>4</v>
      </c>
      <c r="M13" s="26">
        <v>1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3"/>
      <c r="U13" s="13"/>
      <c r="V13" s="13">
        <f>16743.08+1607.92+3320</f>
        <v>21671</v>
      </c>
      <c r="W13" s="13"/>
      <c r="X13" s="13"/>
      <c r="Y13" s="13"/>
      <c r="Z13" s="13">
        <f t="shared" si="7"/>
        <v>5417.75</v>
      </c>
      <c r="AA13" s="13">
        <f t="shared" si="8"/>
        <v>0</v>
      </c>
      <c r="AB13" s="13">
        <f t="shared" si="9"/>
        <v>0</v>
      </c>
      <c r="AC13" s="13">
        <f t="shared" si="10"/>
        <v>0</v>
      </c>
      <c r="AD13" s="13">
        <f t="shared" si="11"/>
        <v>0</v>
      </c>
      <c r="AE13" s="13">
        <f t="shared" si="12"/>
        <v>0</v>
      </c>
      <c r="AF13" s="13">
        <f t="shared" si="13"/>
        <v>5417.75</v>
      </c>
      <c r="AG13" s="42">
        <v>0</v>
      </c>
      <c r="AH13" s="10" t="s">
        <v>46</v>
      </c>
      <c r="AI13" s="27" t="s">
        <v>83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89" s="5" customFormat="1" ht="22.5" customHeight="1" thickBot="1" thickTop="1">
      <c r="A14" s="7">
        <v>203</v>
      </c>
      <c r="B14" s="26">
        <v>11</v>
      </c>
      <c r="C14" s="14">
        <v>15367</v>
      </c>
      <c r="D14" s="14" t="s">
        <v>8</v>
      </c>
      <c r="E14" s="14">
        <v>7</v>
      </c>
      <c r="F14" s="14" t="s">
        <v>49</v>
      </c>
      <c r="G14" s="26">
        <v>1</v>
      </c>
      <c r="H14" s="14">
        <v>1</v>
      </c>
      <c r="I14" s="14">
        <v>0</v>
      </c>
      <c r="J14" s="14">
        <v>1</v>
      </c>
      <c r="K14" s="26">
        <v>0</v>
      </c>
      <c r="L14" s="26">
        <v>3</v>
      </c>
      <c r="M14" s="14">
        <v>1</v>
      </c>
      <c r="N14" s="14">
        <v>1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5"/>
      <c r="U14" s="15"/>
      <c r="V14" s="15">
        <f>17640.02+5820.02</f>
        <v>23460.04</v>
      </c>
      <c r="W14" s="15"/>
      <c r="X14" s="15"/>
      <c r="Y14" s="15"/>
      <c r="Z14" s="13">
        <f t="shared" si="7"/>
        <v>7820.013333333333</v>
      </c>
      <c r="AA14" s="13">
        <f t="shared" si="8"/>
        <v>0</v>
      </c>
      <c r="AB14" s="13">
        <f t="shared" si="9"/>
        <v>0</v>
      </c>
      <c r="AC14" s="13">
        <f t="shared" si="10"/>
        <v>0</v>
      </c>
      <c r="AD14" s="13">
        <f t="shared" si="11"/>
        <v>0</v>
      </c>
      <c r="AE14" s="13">
        <f t="shared" si="12"/>
        <v>0</v>
      </c>
      <c r="AF14" s="13">
        <f t="shared" si="13"/>
        <v>7820.013333333333</v>
      </c>
      <c r="AG14" s="43">
        <v>17</v>
      </c>
      <c r="AH14" s="30" t="s">
        <v>47</v>
      </c>
      <c r="AI14" s="27" t="s">
        <v>83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1:89" s="5" customFormat="1" ht="22.5" customHeight="1" thickBot="1" thickTop="1">
      <c r="A15" s="7"/>
      <c r="B15" s="26">
        <v>12</v>
      </c>
      <c r="C15" s="26">
        <v>15646</v>
      </c>
      <c r="D15" s="26" t="s">
        <v>25</v>
      </c>
      <c r="E15" s="26">
        <v>5</v>
      </c>
      <c r="F15" s="26" t="s">
        <v>48</v>
      </c>
      <c r="G15" s="26">
        <v>1</v>
      </c>
      <c r="H15" s="26">
        <v>1</v>
      </c>
      <c r="I15" s="26">
        <v>0</v>
      </c>
      <c r="J15" s="26">
        <v>1</v>
      </c>
      <c r="K15" s="26">
        <v>0</v>
      </c>
      <c r="L15" s="26">
        <v>4</v>
      </c>
      <c r="M15" s="26">
        <v>1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13"/>
      <c r="U15" s="13"/>
      <c r="V15" s="13">
        <f>21434.8+8938.15</f>
        <v>30372.949999999997</v>
      </c>
      <c r="W15" s="13"/>
      <c r="X15" s="13"/>
      <c r="Y15" s="13"/>
      <c r="Z15" s="13">
        <f t="shared" si="7"/>
        <v>7593.237499999999</v>
      </c>
      <c r="AA15" s="13">
        <f t="shared" si="8"/>
        <v>0</v>
      </c>
      <c r="AB15" s="13">
        <f t="shared" si="9"/>
        <v>0</v>
      </c>
      <c r="AC15" s="13">
        <f t="shared" si="10"/>
        <v>0</v>
      </c>
      <c r="AD15" s="13">
        <f t="shared" si="11"/>
        <v>0</v>
      </c>
      <c r="AE15" s="13">
        <f t="shared" si="12"/>
        <v>0</v>
      </c>
      <c r="AF15" s="13">
        <f t="shared" si="13"/>
        <v>7593.237499999999</v>
      </c>
      <c r="AG15" s="43">
        <v>7.5</v>
      </c>
      <c r="AH15" s="30" t="s">
        <v>50</v>
      </c>
      <c r="AI15" s="27" t="s">
        <v>83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6" spans="1:89" s="5" customFormat="1" ht="22.5" customHeight="1" thickBot="1" thickTop="1">
      <c r="A16" s="7">
        <v>207</v>
      </c>
      <c r="B16" s="26">
        <v>13</v>
      </c>
      <c r="C16" s="26">
        <v>15783</v>
      </c>
      <c r="D16" s="26" t="s">
        <v>25</v>
      </c>
      <c r="E16" s="26">
        <v>3</v>
      </c>
      <c r="F16" s="26" t="s">
        <v>51</v>
      </c>
      <c r="G16" s="26">
        <v>1</v>
      </c>
      <c r="H16" s="26">
        <v>1</v>
      </c>
      <c r="I16" s="26">
        <v>0</v>
      </c>
      <c r="J16" s="26">
        <v>1</v>
      </c>
      <c r="K16" s="26">
        <v>0</v>
      </c>
      <c r="L16" s="26">
        <v>2</v>
      </c>
      <c r="M16" s="26">
        <v>1</v>
      </c>
      <c r="N16" s="26">
        <v>1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13"/>
      <c r="U16" s="13"/>
      <c r="V16" s="13">
        <v>6159.96</v>
      </c>
      <c r="W16" s="13"/>
      <c r="X16" s="13"/>
      <c r="Y16" s="13"/>
      <c r="Z16" s="13">
        <f t="shared" si="7"/>
        <v>3079.98</v>
      </c>
      <c r="AA16" s="13">
        <f t="shared" si="8"/>
        <v>0</v>
      </c>
      <c r="AB16" s="13">
        <f t="shared" si="9"/>
        <v>0</v>
      </c>
      <c r="AC16" s="13">
        <f t="shared" si="10"/>
        <v>307.99800000000005</v>
      </c>
      <c r="AD16" s="13">
        <f t="shared" si="11"/>
        <v>0</v>
      </c>
      <c r="AE16" s="13">
        <f t="shared" si="12"/>
        <v>0</v>
      </c>
      <c r="AF16" s="13">
        <f t="shared" si="13"/>
        <v>2771.982</v>
      </c>
      <c r="AG16" s="43">
        <v>3</v>
      </c>
      <c r="AH16" s="30" t="s">
        <v>28</v>
      </c>
      <c r="AI16" s="27" t="s">
        <v>83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s="5" customFormat="1" ht="22.5" customHeight="1" thickBot="1" thickTop="1">
      <c r="A17" s="7">
        <v>147</v>
      </c>
      <c r="B17" s="26">
        <v>14</v>
      </c>
      <c r="C17" s="14">
        <v>15795</v>
      </c>
      <c r="D17" s="14" t="s">
        <v>25</v>
      </c>
      <c r="E17" s="14">
        <v>3</v>
      </c>
      <c r="F17" s="14" t="s">
        <v>52</v>
      </c>
      <c r="G17" s="14">
        <v>1</v>
      </c>
      <c r="H17" s="14">
        <v>1</v>
      </c>
      <c r="I17" s="14">
        <v>0</v>
      </c>
      <c r="J17" s="14">
        <v>1</v>
      </c>
      <c r="K17" s="26">
        <v>0</v>
      </c>
      <c r="L17" s="26">
        <v>4</v>
      </c>
      <c r="M17" s="26">
        <v>1</v>
      </c>
      <c r="N17" s="14"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/>
      <c r="U17" s="13"/>
      <c r="V17" s="13">
        <f>5130+5600</f>
        <v>10730</v>
      </c>
      <c r="W17" s="13"/>
      <c r="X17" s="13"/>
      <c r="Y17" s="13"/>
      <c r="Z17" s="13">
        <f t="shared" si="7"/>
        <v>2682.5</v>
      </c>
      <c r="AA17" s="13">
        <f t="shared" si="8"/>
        <v>0</v>
      </c>
      <c r="AB17" s="13">
        <f t="shared" si="9"/>
        <v>0</v>
      </c>
      <c r="AC17" s="13">
        <f t="shared" si="10"/>
        <v>0</v>
      </c>
      <c r="AD17" s="13">
        <f t="shared" si="11"/>
        <v>0</v>
      </c>
      <c r="AE17" s="13">
        <f t="shared" si="12"/>
        <v>0</v>
      </c>
      <c r="AF17" s="13">
        <f t="shared" si="13"/>
        <v>2682.5</v>
      </c>
      <c r="AG17" s="42">
        <v>17.5</v>
      </c>
      <c r="AH17" s="10" t="s">
        <v>53</v>
      </c>
      <c r="AI17" s="27" t="s">
        <v>83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1:89" s="5" customFormat="1" ht="22.5" customHeight="1" thickBot="1" thickTop="1">
      <c r="A18" s="7">
        <v>88</v>
      </c>
      <c r="B18" s="26">
        <v>15</v>
      </c>
      <c r="C18" s="14">
        <v>15856</v>
      </c>
      <c r="D18" s="14" t="s">
        <v>25</v>
      </c>
      <c r="E18" s="14">
        <v>3</v>
      </c>
      <c r="F18" s="14" t="s">
        <v>54</v>
      </c>
      <c r="G18" s="26">
        <v>1</v>
      </c>
      <c r="H18" s="14">
        <v>1</v>
      </c>
      <c r="I18" s="14">
        <v>0</v>
      </c>
      <c r="J18" s="14">
        <v>1</v>
      </c>
      <c r="K18" s="26">
        <v>0</v>
      </c>
      <c r="L18" s="26">
        <v>3</v>
      </c>
      <c r="M18" s="14">
        <v>1</v>
      </c>
      <c r="N18" s="14">
        <v>1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5"/>
      <c r="U18" s="15"/>
      <c r="V18" s="15">
        <f>19645.26+5693.42</f>
        <v>25338.68</v>
      </c>
      <c r="W18" s="15"/>
      <c r="X18" s="15"/>
      <c r="Y18" s="15"/>
      <c r="Z18" s="13">
        <f>((T18*50%+U18*85%+V18)/L18)+W18</f>
        <v>8446.226666666667</v>
      </c>
      <c r="AA18" s="13">
        <f>IF(O18=1,Z18*30%,0)</f>
        <v>2533.868</v>
      </c>
      <c r="AB18" s="13">
        <f>IF(K18=1,Z18*20%,0)</f>
        <v>0</v>
      </c>
      <c r="AC18" s="13">
        <f>IF(R18=1,Z18*10%,0)</f>
        <v>0</v>
      </c>
      <c r="AD18" s="13">
        <f>IF(S18=1,Z18*30%,0)</f>
        <v>0</v>
      </c>
      <c r="AE18" s="13">
        <f>IF(I18=1,Z18*30%,0)</f>
        <v>0</v>
      </c>
      <c r="AF18" s="13">
        <f>Z18-AA18-AB18-AC18-AD18-AE18</f>
        <v>5912.358666666667</v>
      </c>
      <c r="AG18" s="43">
        <v>7</v>
      </c>
      <c r="AH18" s="30" t="s">
        <v>55</v>
      </c>
      <c r="AI18" s="27" t="s">
        <v>83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1:89" s="5" customFormat="1" ht="22.5" customHeight="1" thickBot="1" thickTop="1">
      <c r="A19" s="7">
        <v>41</v>
      </c>
      <c r="B19" s="26">
        <v>16</v>
      </c>
      <c r="C19" s="14">
        <v>15470</v>
      </c>
      <c r="D19" s="14" t="s">
        <v>8</v>
      </c>
      <c r="E19" s="14">
        <v>7</v>
      </c>
      <c r="F19" s="14" t="s">
        <v>56</v>
      </c>
      <c r="G19" s="14">
        <v>1</v>
      </c>
      <c r="H19" s="14">
        <v>1</v>
      </c>
      <c r="I19" s="26">
        <v>0</v>
      </c>
      <c r="J19" s="14">
        <v>1</v>
      </c>
      <c r="K19" s="26">
        <v>0</v>
      </c>
      <c r="L19" s="26">
        <v>3</v>
      </c>
      <c r="M19" s="26">
        <v>1</v>
      </c>
      <c r="N19" s="14">
        <v>1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3"/>
      <c r="U19" s="13"/>
      <c r="V19" s="13">
        <v>2850.06</v>
      </c>
      <c r="W19" s="13"/>
      <c r="X19" s="13"/>
      <c r="Y19" s="13"/>
      <c r="Z19" s="13">
        <f>((T19*50%+U19*85%+V19)/L19)+W19</f>
        <v>950.02</v>
      </c>
      <c r="AA19" s="13">
        <f>IF(O19=1,Z19*30%,0)</f>
        <v>0</v>
      </c>
      <c r="AB19" s="13">
        <f>IF(K19=1,Z19*20%,0)</f>
        <v>0</v>
      </c>
      <c r="AC19" s="13">
        <f>IF(R19=1,Z19*10%,0)</f>
        <v>95.00200000000001</v>
      </c>
      <c r="AD19" s="13">
        <f>IF(S19=1,Z19*30%,0)</f>
        <v>0</v>
      </c>
      <c r="AE19" s="13">
        <f>IF(I19=1,Z19*30%,0)</f>
        <v>0</v>
      </c>
      <c r="AF19" s="13">
        <f>Z19-AA19-AB19-AC19-AD19-AE19</f>
        <v>855.018</v>
      </c>
      <c r="AG19" s="42">
        <v>0</v>
      </c>
      <c r="AH19" s="27" t="s">
        <v>57</v>
      </c>
      <c r="AI19" s="27" t="s">
        <v>83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s="5" customFormat="1" ht="22.5" customHeight="1" thickBot="1" thickTop="1">
      <c r="A20" s="7"/>
      <c r="B20" s="26">
        <v>17</v>
      </c>
      <c r="C20" s="26">
        <v>15756</v>
      </c>
      <c r="D20" s="26" t="s">
        <v>25</v>
      </c>
      <c r="E20" s="26">
        <v>3</v>
      </c>
      <c r="F20" s="26" t="s">
        <v>58</v>
      </c>
      <c r="G20" s="26">
        <v>1</v>
      </c>
      <c r="H20" s="26">
        <v>1</v>
      </c>
      <c r="I20" s="26">
        <v>0</v>
      </c>
      <c r="J20" s="26">
        <v>1</v>
      </c>
      <c r="K20" s="26">
        <v>1</v>
      </c>
      <c r="L20" s="26">
        <v>2</v>
      </c>
      <c r="M20" s="26">
        <v>1</v>
      </c>
      <c r="N20" s="26">
        <v>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13"/>
      <c r="U20" s="13"/>
      <c r="V20" s="13">
        <f>7844+4660.21</f>
        <v>12504.21</v>
      </c>
      <c r="W20" s="13"/>
      <c r="X20" s="13"/>
      <c r="Y20" s="13"/>
      <c r="Z20" s="13">
        <f>((T20*50%+U20*85%+V20)/L20)+W20</f>
        <v>6252.105</v>
      </c>
      <c r="AA20" s="13">
        <f>IF(O20=1,Z20*30%,0)</f>
        <v>0</v>
      </c>
      <c r="AB20" s="13">
        <f>IF(K20=1,Z20*20%,0)</f>
        <v>1250.421</v>
      </c>
      <c r="AC20" s="13">
        <f>IF(R20=1,Z20*10%,0)</f>
        <v>0</v>
      </c>
      <c r="AD20" s="13">
        <f>IF(S20=1,Z20*30%,0)</f>
        <v>0</v>
      </c>
      <c r="AE20" s="13">
        <f>IF(I20=1,Z20*30%,0)</f>
        <v>0</v>
      </c>
      <c r="AF20" s="13">
        <f>Z20-AA20-AB20-AC20-AD20-AE20</f>
        <v>5001.683999999999</v>
      </c>
      <c r="AG20" s="43">
        <v>15.5</v>
      </c>
      <c r="AH20" s="30" t="s">
        <v>59</v>
      </c>
      <c r="AI20" s="27" t="s">
        <v>83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1:89" s="5" customFormat="1" ht="22.5" customHeight="1" thickBot="1" thickTop="1">
      <c r="A21" s="7">
        <v>110</v>
      </c>
      <c r="B21" s="26">
        <v>18</v>
      </c>
      <c r="C21" s="14">
        <v>15852</v>
      </c>
      <c r="D21" s="14" t="s">
        <v>25</v>
      </c>
      <c r="E21" s="14">
        <v>3</v>
      </c>
      <c r="F21" s="14" t="s">
        <v>60</v>
      </c>
      <c r="G21" s="14">
        <v>1</v>
      </c>
      <c r="H21" s="14">
        <v>1</v>
      </c>
      <c r="I21" s="14">
        <v>0</v>
      </c>
      <c r="J21" s="14">
        <v>1</v>
      </c>
      <c r="K21" s="26">
        <v>0</v>
      </c>
      <c r="L21" s="26">
        <v>5</v>
      </c>
      <c r="M21" s="26">
        <v>1</v>
      </c>
      <c r="N21" s="14">
        <v>1</v>
      </c>
      <c r="O21" s="14">
        <v>0</v>
      </c>
      <c r="P21" s="14">
        <v>0</v>
      </c>
      <c r="Q21" s="14">
        <v>1</v>
      </c>
      <c r="R21" s="14">
        <v>0</v>
      </c>
      <c r="S21" s="14">
        <v>0</v>
      </c>
      <c r="T21" s="13"/>
      <c r="U21" s="13"/>
      <c r="V21" s="13">
        <f>14197.74+4662.04</f>
        <v>18859.78</v>
      </c>
      <c r="W21" s="13"/>
      <c r="X21" s="13"/>
      <c r="Y21" s="13"/>
      <c r="Z21" s="13">
        <f>((T21*50%+U21*85%+V21)/L21)+W21</f>
        <v>3771.9559999999997</v>
      </c>
      <c r="AA21" s="13">
        <f>IF(O21=1,Z21*30%,0)</f>
        <v>0</v>
      </c>
      <c r="AB21" s="13">
        <f>IF(K21=1,Z21*20%,0)</f>
        <v>0</v>
      </c>
      <c r="AC21" s="13">
        <f>IF(R21=1,Z21*10%,0)</f>
        <v>0</v>
      </c>
      <c r="AD21" s="13">
        <f>IF(S21=1,Z21*30%,0)</f>
        <v>0</v>
      </c>
      <c r="AE21" s="13">
        <f>IF(I21=1,Z21*30%,0)</f>
        <v>0</v>
      </c>
      <c r="AF21" s="13">
        <f>Z21-AA21-AB21-AC21-AD21-AE21</f>
        <v>3771.9559999999997</v>
      </c>
      <c r="AG21" s="42">
        <v>12</v>
      </c>
      <c r="AH21" s="10" t="s">
        <v>61</v>
      </c>
      <c r="AI21" s="27" t="s">
        <v>83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2:35" ht="19.5" thickBot="1" thickTop="1">
      <c r="B22" s="26">
        <v>19</v>
      </c>
      <c r="C22" s="26">
        <v>17858</v>
      </c>
      <c r="D22" s="26" t="s">
        <v>62</v>
      </c>
      <c r="E22" s="26">
        <v>3</v>
      </c>
      <c r="F22" s="33" t="s">
        <v>63</v>
      </c>
      <c r="G22" s="26">
        <v>1</v>
      </c>
      <c r="H22" s="26">
        <v>1</v>
      </c>
      <c r="I22" s="26">
        <v>0</v>
      </c>
      <c r="J22" s="26">
        <v>1</v>
      </c>
      <c r="K22" s="26">
        <v>0</v>
      </c>
      <c r="L22" s="26">
        <v>2</v>
      </c>
      <c r="M22" s="26">
        <v>1</v>
      </c>
      <c r="N22" s="26">
        <v>1</v>
      </c>
      <c r="O22" s="26">
        <v>0</v>
      </c>
      <c r="P22" s="26">
        <v>0</v>
      </c>
      <c r="Q22" s="26">
        <v>0</v>
      </c>
      <c r="R22" s="26">
        <v>1</v>
      </c>
      <c r="S22" s="37">
        <v>0</v>
      </c>
      <c r="T22" s="13"/>
      <c r="U22" s="13"/>
      <c r="V22" s="13">
        <v>13197.72</v>
      </c>
      <c r="W22" s="13"/>
      <c r="X22" s="13"/>
      <c r="Y22" s="13"/>
      <c r="Z22" s="13">
        <f aca="true" t="shared" si="14" ref="Z22:Z28">((T22*50%+U22*85%+V22)/L22)+W22</f>
        <v>6598.86</v>
      </c>
      <c r="AA22" s="13">
        <f aca="true" t="shared" si="15" ref="AA22:AA28">IF(O22=1,Z22*30%,0)</f>
        <v>0</v>
      </c>
      <c r="AB22" s="13">
        <f aca="true" t="shared" si="16" ref="AB22:AB28">IF(K22=1,Z22*20%,0)</f>
        <v>0</v>
      </c>
      <c r="AC22" s="13">
        <f aca="true" t="shared" si="17" ref="AC22:AC28">IF(R22=1,Z22*10%,0)</f>
        <v>659.886</v>
      </c>
      <c r="AD22" s="13">
        <f aca="true" t="shared" si="18" ref="AD22:AD28">IF(S22=1,Z22*30%,0)</f>
        <v>0</v>
      </c>
      <c r="AE22" s="13">
        <f aca="true" t="shared" si="19" ref="AE22:AE28">IF(I22=1,Z22*30%,0)</f>
        <v>0</v>
      </c>
      <c r="AF22" s="13">
        <f aca="true" t="shared" si="20" ref="AF22:AF28">Z22-AA22-AB22-AC22-AD22-AE22</f>
        <v>5938.974</v>
      </c>
      <c r="AG22" s="42">
        <v>10</v>
      </c>
      <c r="AH22" s="27" t="s">
        <v>64</v>
      </c>
      <c r="AI22" s="27" t="s">
        <v>83</v>
      </c>
    </row>
    <row r="23" spans="2:89" s="40" customFormat="1" ht="19.5" customHeight="1" thickBot="1" thickTop="1">
      <c r="B23" s="26">
        <v>20</v>
      </c>
      <c r="C23" s="14">
        <v>17793</v>
      </c>
      <c r="D23" s="14" t="s">
        <v>62</v>
      </c>
      <c r="E23" s="14">
        <v>5</v>
      </c>
      <c r="F23" s="14" t="s">
        <v>80</v>
      </c>
      <c r="G23" s="14">
        <v>1</v>
      </c>
      <c r="H23" s="14">
        <v>1</v>
      </c>
      <c r="I23" s="14">
        <v>0</v>
      </c>
      <c r="J23" s="14">
        <v>1</v>
      </c>
      <c r="K23" s="26">
        <v>0</v>
      </c>
      <c r="L23" s="26">
        <v>2</v>
      </c>
      <c r="M23" s="26">
        <v>1</v>
      </c>
      <c r="N23" s="14">
        <v>1</v>
      </c>
      <c r="O23" s="14">
        <v>0</v>
      </c>
      <c r="P23" s="14">
        <v>0</v>
      </c>
      <c r="Q23" s="14">
        <v>0</v>
      </c>
      <c r="R23" s="14">
        <v>1</v>
      </c>
      <c r="S23" s="37">
        <v>0</v>
      </c>
      <c r="T23" s="13"/>
      <c r="U23" s="13"/>
      <c r="V23" s="13">
        <v>8210.64</v>
      </c>
      <c r="W23" s="13"/>
      <c r="X23" s="13"/>
      <c r="Y23" s="13"/>
      <c r="Z23" s="13">
        <f t="shared" si="14"/>
        <v>4105.32</v>
      </c>
      <c r="AA23" s="13">
        <f t="shared" si="15"/>
        <v>0</v>
      </c>
      <c r="AB23" s="13">
        <f t="shared" si="16"/>
        <v>0</v>
      </c>
      <c r="AC23" s="13">
        <f t="shared" si="17"/>
        <v>410.532</v>
      </c>
      <c r="AD23" s="13">
        <f t="shared" si="18"/>
        <v>0</v>
      </c>
      <c r="AE23" s="13">
        <f t="shared" si="19"/>
        <v>0</v>
      </c>
      <c r="AF23" s="13">
        <f t="shared" si="20"/>
        <v>3694.7879999999996</v>
      </c>
      <c r="AG23" s="43">
        <v>36</v>
      </c>
      <c r="AH23" s="30" t="s">
        <v>81</v>
      </c>
      <c r="AI23" s="27" t="s">
        <v>82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</row>
    <row r="24" spans="2:35" ht="19.5" thickBot="1" thickTop="1">
      <c r="B24" s="26">
        <v>21</v>
      </c>
      <c r="C24" s="14">
        <v>17833</v>
      </c>
      <c r="D24" s="14" t="s">
        <v>62</v>
      </c>
      <c r="E24" s="14">
        <v>3</v>
      </c>
      <c r="F24" s="14" t="s">
        <v>65</v>
      </c>
      <c r="G24" s="14">
        <v>1</v>
      </c>
      <c r="H24" s="14">
        <v>1</v>
      </c>
      <c r="I24" s="14">
        <v>0</v>
      </c>
      <c r="J24" s="14">
        <v>1</v>
      </c>
      <c r="K24" s="26">
        <v>0</v>
      </c>
      <c r="L24" s="26">
        <v>4</v>
      </c>
      <c r="M24" s="26">
        <v>1</v>
      </c>
      <c r="N24" s="14">
        <v>1</v>
      </c>
      <c r="O24" s="14">
        <v>0</v>
      </c>
      <c r="P24" s="14">
        <v>0</v>
      </c>
      <c r="Q24" s="14">
        <v>1</v>
      </c>
      <c r="R24" s="14">
        <v>1</v>
      </c>
      <c r="S24" s="37">
        <v>0</v>
      </c>
      <c r="T24" s="13"/>
      <c r="U24" s="13"/>
      <c r="V24" s="13">
        <v>21498.93</v>
      </c>
      <c r="W24" s="13"/>
      <c r="X24" s="13"/>
      <c r="Y24" s="13"/>
      <c r="Z24" s="13">
        <f t="shared" si="14"/>
        <v>5374.7325</v>
      </c>
      <c r="AA24" s="13">
        <f t="shared" si="15"/>
        <v>0</v>
      </c>
      <c r="AB24" s="13">
        <f t="shared" si="16"/>
        <v>0</v>
      </c>
      <c r="AC24" s="13">
        <f t="shared" si="17"/>
        <v>537.47325</v>
      </c>
      <c r="AD24" s="13">
        <f t="shared" si="18"/>
        <v>0</v>
      </c>
      <c r="AE24" s="13">
        <f t="shared" si="19"/>
        <v>0</v>
      </c>
      <c r="AF24" s="13">
        <f t="shared" si="20"/>
        <v>4837.25925</v>
      </c>
      <c r="AG24" s="42">
        <v>15</v>
      </c>
      <c r="AH24" s="28" t="s">
        <v>66</v>
      </c>
      <c r="AI24" s="27" t="s">
        <v>83</v>
      </c>
    </row>
    <row r="25" spans="2:35" ht="19.5" thickBot="1" thickTop="1">
      <c r="B25" s="26">
        <v>22</v>
      </c>
      <c r="C25" s="14">
        <v>17846</v>
      </c>
      <c r="D25" s="14" t="s">
        <v>62</v>
      </c>
      <c r="E25" s="14">
        <v>3</v>
      </c>
      <c r="F25" s="14" t="s">
        <v>67</v>
      </c>
      <c r="G25" s="26">
        <v>1</v>
      </c>
      <c r="H25" s="14">
        <v>1</v>
      </c>
      <c r="I25" s="14">
        <v>0</v>
      </c>
      <c r="J25" s="14">
        <v>1</v>
      </c>
      <c r="K25" s="26">
        <v>0</v>
      </c>
      <c r="L25" s="26">
        <v>4</v>
      </c>
      <c r="M25" s="14">
        <v>1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37">
        <v>0</v>
      </c>
      <c r="T25" s="15"/>
      <c r="U25" s="15"/>
      <c r="V25" s="15">
        <v>13181.68</v>
      </c>
      <c r="W25" s="15"/>
      <c r="X25" s="15"/>
      <c r="Y25" s="15"/>
      <c r="Z25" s="13">
        <f t="shared" si="14"/>
        <v>3295.42</v>
      </c>
      <c r="AA25" s="13">
        <f t="shared" si="15"/>
        <v>0</v>
      </c>
      <c r="AB25" s="13">
        <f t="shared" si="16"/>
        <v>0</v>
      </c>
      <c r="AC25" s="13">
        <f t="shared" si="17"/>
        <v>0</v>
      </c>
      <c r="AD25" s="13">
        <f t="shared" si="18"/>
        <v>0</v>
      </c>
      <c r="AE25" s="13">
        <f t="shared" si="19"/>
        <v>0</v>
      </c>
      <c r="AF25" s="13">
        <f t="shared" si="20"/>
        <v>3295.42</v>
      </c>
      <c r="AG25" s="43">
        <v>0</v>
      </c>
      <c r="AH25" s="30" t="s">
        <v>27</v>
      </c>
      <c r="AI25" s="27" t="s">
        <v>83</v>
      </c>
    </row>
    <row r="26" spans="2:35" ht="19.5" thickBot="1" thickTop="1">
      <c r="B26" s="26">
        <v>23</v>
      </c>
      <c r="C26" s="14">
        <v>18674</v>
      </c>
      <c r="D26" s="14" t="s">
        <v>62</v>
      </c>
      <c r="E26" s="14">
        <v>1</v>
      </c>
      <c r="F26" s="14" t="s">
        <v>68</v>
      </c>
      <c r="G26" s="26">
        <v>1</v>
      </c>
      <c r="H26" s="14">
        <v>1</v>
      </c>
      <c r="I26" s="14">
        <v>0</v>
      </c>
      <c r="J26" s="14">
        <v>1</v>
      </c>
      <c r="K26" s="26">
        <v>0</v>
      </c>
      <c r="L26" s="26">
        <v>4</v>
      </c>
      <c r="M26" s="14">
        <v>1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37">
        <v>1</v>
      </c>
      <c r="T26" s="15"/>
      <c r="U26" s="15"/>
      <c r="V26" s="15">
        <v>19501.7</v>
      </c>
      <c r="W26" s="15"/>
      <c r="X26" s="15"/>
      <c r="Y26" s="15"/>
      <c r="Z26" s="13">
        <f t="shared" si="14"/>
        <v>4875.425</v>
      </c>
      <c r="AA26" s="13">
        <f t="shared" si="15"/>
        <v>0</v>
      </c>
      <c r="AB26" s="13">
        <f t="shared" si="16"/>
        <v>0</v>
      </c>
      <c r="AC26" s="13">
        <f t="shared" si="17"/>
        <v>0</v>
      </c>
      <c r="AD26" s="13">
        <f t="shared" si="18"/>
        <v>1462.6275</v>
      </c>
      <c r="AE26" s="13">
        <f t="shared" si="19"/>
        <v>0</v>
      </c>
      <c r="AF26" s="13">
        <f t="shared" si="20"/>
        <v>3412.7975</v>
      </c>
      <c r="AG26" s="43">
        <v>0</v>
      </c>
      <c r="AH26" s="30" t="s">
        <v>69</v>
      </c>
      <c r="AI26" s="30" t="s">
        <v>70</v>
      </c>
    </row>
    <row r="27" spans="2:35" ht="19.5" thickBot="1" thickTop="1">
      <c r="B27" s="26">
        <v>24</v>
      </c>
      <c r="C27" s="26">
        <v>17879</v>
      </c>
      <c r="D27" s="26" t="s">
        <v>62</v>
      </c>
      <c r="E27" s="26">
        <v>3</v>
      </c>
      <c r="F27" s="9" t="s">
        <v>71</v>
      </c>
      <c r="G27" s="26">
        <v>1</v>
      </c>
      <c r="H27" s="26">
        <v>1</v>
      </c>
      <c r="I27" s="26">
        <v>0</v>
      </c>
      <c r="J27" s="26">
        <v>1</v>
      </c>
      <c r="K27" s="26">
        <v>0</v>
      </c>
      <c r="L27" s="26">
        <v>3</v>
      </c>
      <c r="M27" s="26">
        <v>1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  <c r="S27" s="37">
        <v>0</v>
      </c>
      <c r="T27" s="13"/>
      <c r="U27" s="13"/>
      <c r="V27" s="13">
        <v>23850.39</v>
      </c>
      <c r="W27" s="13"/>
      <c r="X27" s="13"/>
      <c r="Y27" s="13"/>
      <c r="Z27" s="13">
        <f t="shared" si="14"/>
        <v>7950.13</v>
      </c>
      <c r="AA27" s="13">
        <f t="shared" si="15"/>
        <v>0</v>
      </c>
      <c r="AB27" s="13">
        <f t="shared" si="16"/>
        <v>0</v>
      </c>
      <c r="AC27" s="13">
        <f t="shared" si="17"/>
        <v>0</v>
      </c>
      <c r="AD27" s="13">
        <f t="shared" si="18"/>
        <v>0</v>
      </c>
      <c r="AE27" s="13">
        <f t="shared" si="19"/>
        <v>0</v>
      </c>
      <c r="AF27" s="13">
        <f t="shared" si="20"/>
        <v>7950.13</v>
      </c>
      <c r="AG27" s="43">
        <v>0</v>
      </c>
      <c r="AH27" s="30" t="s">
        <v>72</v>
      </c>
      <c r="AI27" s="27" t="s">
        <v>83</v>
      </c>
    </row>
    <row r="28" spans="2:35" ht="19.5" thickBot="1" thickTop="1">
      <c r="B28" s="26">
        <v>25</v>
      </c>
      <c r="C28" s="14">
        <v>16431</v>
      </c>
      <c r="D28" s="14" t="s">
        <v>62</v>
      </c>
      <c r="E28" s="14">
        <v>9</v>
      </c>
      <c r="F28" s="14" t="s">
        <v>73</v>
      </c>
      <c r="G28" s="26">
        <v>1</v>
      </c>
      <c r="H28" s="14">
        <v>1</v>
      </c>
      <c r="I28" s="14">
        <v>0</v>
      </c>
      <c r="J28" s="14">
        <v>1</v>
      </c>
      <c r="K28" s="26">
        <v>0</v>
      </c>
      <c r="L28" s="26">
        <v>3</v>
      </c>
      <c r="M28" s="14">
        <v>1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37">
        <v>0</v>
      </c>
      <c r="T28" s="15"/>
      <c r="U28" s="15"/>
      <c r="V28" s="15">
        <v>18495.97</v>
      </c>
      <c r="W28" s="15"/>
      <c r="X28" s="15"/>
      <c r="Y28" s="15"/>
      <c r="Z28" s="13">
        <f t="shared" si="14"/>
        <v>6165.323333333334</v>
      </c>
      <c r="AA28" s="13">
        <f t="shared" si="15"/>
        <v>0</v>
      </c>
      <c r="AB28" s="13">
        <f t="shared" si="16"/>
        <v>0</v>
      </c>
      <c r="AC28" s="13">
        <f t="shared" si="17"/>
        <v>0</v>
      </c>
      <c r="AD28" s="13">
        <f t="shared" si="18"/>
        <v>0</v>
      </c>
      <c r="AE28" s="13">
        <f t="shared" si="19"/>
        <v>0</v>
      </c>
      <c r="AF28" s="13">
        <f t="shared" si="20"/>
        <v>6165.323333333334</v>
      </c>
      <c r="AG28" s="43">
        <v>10</v>
      </c>
      <c r="AH28" s="30" t="s">
        <v>74</v>
      </c>
      <c r="AI28" s="27" t="s">
        <v>83</v>
      </c>
    </row>
    <row r="29" spans="2:35" ht="19.5" thickBot="1" thickTop="1">
      <c r="B29" s="26">
        <v>26</v>
      </c>
      <c r="C29" s="14">
        <v>14468</v>
      </c>
      <c r="D29" s="14" t="s">
        <v>62</v>
      </c>
      <c r="E29" s="14">
        <v>11</v>
      </c>
      <c r="F29" s="14" t="s">
        <v>75</v>
      </c>
      <c r="G29" s="26">
        <v>1</v>
      </c>
      <c r="H29" s="14">
        <v>1</v>
      </c>
      <c r="I29" s="14">
        <v>1</v>
      </c>
      <c r="J29" s="14">
        <v>1</v>
      </c>
      <c r="K29" s="26">
        <v>0</v>
      </c>
      <c r="L29" s="26">
        <v>5</v>
      </c>
      <c r="M29" s="14">
        <v>1</v>
      </c>
      <c r="N29" s="14">
        <v>1</v>
      </c>
      <c r="O29" s="14">
        <v>1</v>
      </c>
      <c r="P29" s="14">
        <v>0</v>
      </c>
      <c r="Q29" s="14">
        <v>1</v>
      </c>
      <c r="R29" s="14">
        <v>0</v>
      </c>
      <c r="S29" s="37">
        <v>0</v>
      </c>
      <c r="T29" s="15"/>
      <c r="U29" s="15"/>
      <c r="V29" s="15">
        <v>19195.89</v>
      </c>
      <c r="W29" s="15"/>
      <c r="X29" s="15"/>
      <c r="Y29" s="15"/>
      <c r="Z29" s="13">
        <f>((T29*50%+U29*85%+V29)/L29)+W29</f>
        <v>3839.178</v>
      </c>
      <c r="AA29" s="13">
        <f>IF(O29=1,Z29*30%,0)</f>
        <v>1151.7533999999998</v>
      </c>
      <c r="AB29" s="13">
        <f>IF(K29=1,Z29*20%,0)</f>
        <v>0</v>
      </c>
      <c r="AC29" s="13">
        <f>IF(R29=1,Z29*10%,0)</f>
        <v>0</v>
      </c>
      <c r="AD29" s="13">
        <f>IF(S29=1,Z29*30%,0)</f>
        <v>0</v>
      </c>
      <c r="AE29" s="13">
        <f>IF(I29=1,Z29*30%,0)</f>
        <v>1151.7533999999998</v>
      </c>
      <c r="AF29" s="13">
        <f>Z29-AA29-AB29-AC29-AD29-AE29</f>
        <v>1535.6712000000005</v>
      </c>
      <c r="AG29" s="43">
        <v>86</v>
      </c>
      <c r="AH29" s="30" t="s">
        <v>76</v>
      </c>
      <c r="AI29" s="30" t="s">
        <v>77</v>
      </c>
    </row>
    <row r="30" spans="2:35" ht="19.5" thickBot="1" thickTop="1">
      <c r="B30" s="26">
        <v>27</v>
      </c>
      <c r="C30" s="14">
        <v>16851</v>
      </c>
      <c r="D30" s="14" t="s">
        <v>62</v>
      </c>
      <c r="E30" s="14">
        <v>7</v>
      </c>
      <c r="F30" s="14" t="s">
        <v>78</v>
      </c>
      <c r="G30" s="14">
        <v>1</v>
      </c>
      <c r="H30" s="14">
        <v>1</v>
      </c>
      <c r="I30" s="14">
        <v>0</v>
      </c>
      <c r="J30" s="14">
        <v>1</v>
      </c>
      <c r="K30" s="26">
        <v>0</v>
      </c>
      <c r="L30" s="26">
        <v>4</v>
      </c>
      <c r="M30" s="26">
        <v>1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  <c r="S30" s="37">
        <v>0</v>
      </c>
      <c r="T30" s="13"/>
      <c r="U30" s="13"/>
      <c r="V30" s="13">
        <v>12350.86</v>
      </c>
      <c r="W30" s="13"/>
      <c r="X30" s="13"/>
      <c r="Y30" s="13"/>
      <c r="Z30" s="13">
        <f>((T30*50%+U30*85%+V30)/L30)+W30</f>
        <v>3087.715</v>
      </c>
      <c r="AA30" s="13">
        <f>IF(O30=1,Z30*30%,0)</f>
        <v>0</v>
      </c>
      <c r="AB30" s="13">
        <f>IF(K30=1,Z30*20%,0)</f>
        <v>0</v>
      </c>
      <c r="AC30" s="13">
        <f>IF(R30=1,Z30*10%,0)</f>
        <v>0</v>
      </c>
      <c r="AD30" s="13">
        <f>IF(S30=1,Z30*30%,0)</f>
        <v>0</v>
      </c>
      <c r="AE30" s="13">
        <f>IF(I30=1,Z30*30%,0)</f>
        <v>0</v>
      </c>
      <c r="AF30" s="13">
        <f>Z30-AA30-AB30-AC30-AD30-AE30</f>
        <v>3087.715</v>
      </c>
      <c r="AG30" s="43">
        <v>11</v>
      </c>
      <c r="AH30" s="30" t="s">
        <v>79</v>
      </c>
      <c r="AI30" s="27" t="s">
        <v>83</v>
      </c>
    </row>
    <row r="31" spans="2:35" ht="18.75" thickTop="1">
      <c r="B31" s="25"/>
      <c r="C31" s="3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2:35" ht="18">
      <c r="B32" s="25"/>
      <c r="C32" s="3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18">
      <c r="B33" s="25"/>
      <c r="C33" s="3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18">
      <c r="B34" s="25"/>
      <c r="C34" s="3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18">
      <c r="B35" s="25"/>
      <c r="C35" s="3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18">
      <c r="B36" s="25"/>
      <c r="C36" s="3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18">
      <c r="B37" s="25"/>
      <c r="C37" s="3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18">
      <c r="B38" s="25"/>
      <c r="C38" s="3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18">
      <c r="B39" s="25"/>
      <c r="C39" s="3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18">
      <c r="B40" s="25"/>
      <c r="C40" s="3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18">
      <c r="B41" s="25"/>
      <c r="C41" s="3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18">
      <c r="B42" s="25"/>
      <c r="C42" s="3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18">
      <c r="B43" s="25"/>
      <c r="C43" s="3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2:35" ht="18">
      <c r="B44" s="25"/>
      <c r="C44" s="36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35" ht="18">
      <c r="B45" s="25"/>
      <c r="C45" s="3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2:35" ht="18">
      <c r="B46" s="25"/>
      <c r="C46" s="3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2:35" ht="18">
      <c r="B47" s="25"/>
      <c r="C47" s="3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2:35" ht="18">
      <c r="B48" s="25"/>
      <c r="C48" s="3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:35" ht="18">
      <c r="B49" s="25"/>
      <c r="C49" s="3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:35" ht="18">
      <c r="B50" s="25"/>
      <c r="C50" s="36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18">
      <c r="B51" s="25"/>
      <c r="C51" s="3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18">
      <c r="B52" s="25"/>
      <c r="C52" s="3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18">
      <c r="B53" s="25"/>
      <c r="C53" s="3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18">
      <c r="B54" s="25"/>
      <c r="C54" s="3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18">
      <c r="B55" s="25"/>
      <c r="C55" s="3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18">
      <c r="B56" s="25"/>
      <c r="C56" s="3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18">
      <c r="B57" s="25"/>
      <c r="C57" s="3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18">
      <c r="B58" s="25"/>
      <c r="C58" s="3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18">
      <c r="B59" s="25"/>
      <c r="C59" s="3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18">
      <c r="B60" s="25"/>
      <c r="C60" s="3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18">
      <c r="B61" s="2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18">
      <c r="B62" s="2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18">
      <c r="B63" s="2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18">
      <c r="B64" s="2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18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18">
      <c r="B66" s="2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18">
      <c r="B67" s="25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18">
      <c r="B68" s="2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18">
      <c r="B69" s="2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0:35" ht="18"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20:35" ht="18"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20:35" ht="18"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</sheetData>
  <sheetProtection/>
  <autoFilter ref="A3:CK21"/>
  <mergeCells count="1">
    <mergeCell ref="C1:AI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</cp:lastModifiedBy>
  <cp:lastPrinted>2019-02-05T08:20:49Z</cp:lastPrinted>
  <dcterms:created xsi:type="dcterms:W3CDTF">2007-10-03T16:28:55Z</dcterms:created>
  <dcterms:modified xsi:type="dcterms:W3CDTF">2019-02-05T13:08:05Z</dcterms:modified>
  <cp:category/>
  <cp:version/>
  <cp:contentType/>
  <cp:contentStatus/>
</cp:coreProperties>
</file>